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ils\Vandværk\Generalforsamling 2019\"/>
    </mc:Choice>
  </mc:AlternateContent>
  <xr:revisionPtr revIDLastSave="0" documentId="13_ncr:1_{9C0A1F72-9923-4C64-A445-19906A753D0E}" xr6:coauthVersionLast="45" xr6:coauthVersionMax="45" xr10:uidLastSave="{00000000-0000-0000-0000-000000000000}"/>
  <bookViews>
    <workbookView xWindow="-120" yWindow="-120" windowWidth="20730" windowHeight="11160" tabRatio="704" activeTab="4" xr2:uid="{00000000-000D-0000-FFFF-FFFF00000000}"/>
  </bookViews>
  <sheets>
    <sheet name="Stamdata" sheetId="7" r:id="rId1"/>
    <sheet name="Driftsbudget" sheetId="4" r:id="rId2"/>
    <sheet name="Forsynings- og stikledninger" sheetId="14" r:id="rId3"/>
    <sheet name="Aktiver" sheetId="15" r:id="rId4"/>
    <sheet name="Takstblad" sheetId="8" r:id="rId5"/>
  </sheets>
  <definedNames>
    <definedName name="AfskrivÅr">#REF!</definedName>
    <definedName name="AntalBoligenheder">Stamdata!$C$14</definedName>
    <definedName name="Leveretm3">Stamdata!$C$15</definedName>
    <definedName name="RegnÅr">Stamdata!$C$12</definedName>
    <definedName name="TakstÅr">Stamdata!$C$11</definedName>
    <definedName name="_xlnm.Print_Area" localSheetId="3">Aktiver!#REF!</definedName>
    <definedName name="_xlnm.Print_Area" localSheetId="2">'Forsynings- og stikledninger'!$A$1:$C$58</definedName>
    <definedName name="Vnavn">Stamdata!$B$3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14" l="1"/>
  <c r="C38" i="14" l="1"/>
  <c r="C37" i="14"/>
  <c r="A15" i="7" l="1"/>
  <c r="C35" i="14"/>
  <c r="A1" i="4" l="1"/>
  <c r="D7" i="4"/>
  <c r="C7" i="4"/>
  <c r="C56" i="14" l="1"/>
  <c r="B56" i="14"/>
  <c r="B58" i="14" l="1"/>
  <c r="C25" i="8" s="1"/>
  <c r="C36" i="14" l="1"/>
  <c r="C15" i="14"/>
  <c r="C14" i="14"/>
  <c r="C13" i="14"/>
  <c r="C44" i="14" l="1"/>
  <c r="C3" i="4"/>
  <c r="D3" i="4"/>
  <c r="A19" i="7"/>
  <c r="A18" i="7"/>
  <c r="A14" i="7"/>
  <c r="A13" i="7"/>
  <c r="C46" i="14" l="1"/>
  <c r="C24" i="8" s="1"/>
  <c r="C45" i="14"/>
  <c r="A1" i="15"/>
  <c r="C10" i="8" l="1"/>
  <c r="C9" i="8"/>
  <c r="C15" i="4" l="1"/>
  <c r="C17" i="4" s="1"/>
  <c r="D15" i="4"/>
  <c r="D17" i="4" s="1"/>
  <c r="B15" i="4"/>
  <c r="B7" i="4"/>
  <c r="B3" i="4"/>
  <c r="B17" i="4" l="1"/>
  <c r="B6" i="15"/>
  <c r="C19" i="8" l="1"/>
  <c r="C21" i="8" s="1"/>
  <c r="C18" i="8"/>
  <c r="C29" i="8" l="1"/>
  <c r="D29" i="8" s="1"/>
  <c r="D18" i="8"/>
  <c r="C20" i="8"/>
  <c r="C22" i="8"/>
  <c r="D21" i="8"/>
  <c r="C20" i="7" l="1"/>
  <c r="D38" i="8" l="1"/>
  <c r="D35" i="8"/>
  <c r="A1" i="14" l="1"/>
  <c r="A2" i="14"/>
  <c r="C16" i="14"/>
  <c r="C22" i="14" s="1"/>
  <c r="C24" i="14" l="1"/>
  <c r="C23" i="14"/>
  <c r="C23" i="8"/>
  <c r="C28" i="8" s="1"/>
  <c r="D28" i="8" s="1"/>
  <c r="D24" i="8"/>
  <c r="D23" i="8" l="1"/>
  <c r="D25" i="8"/>
  <c r="A1" i="8"/>
  <c r="A1" i="7" l="1"/>
  <c r="C11" i="8" l="1"/>
  <c r="D11" i="8" s="1"/>
  <c r="D10" i="8"/>
  <c r="D9" i="8"/>
  <c r="C6" i="8"/>
  <c r="C4" i="8"/>
  <c r="A6" i="8"/>
  <c r="A5" i="8"/>
  <c r="A4" i="8"/>
  <c r="D19" i="8" l="1"/>
  <c r="D20" i="8"/>
  <c r="D2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Neel Ploug</author>
  </authors>
  <commentList>
    <comment ref="B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Indtast hovedtal fra det godkendte regnskab, som også skal afleveres til kommunen.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nhat</author>
    <author>Ebbe</author>
  </authors>
  <commentList>
    <comment ref="C2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nhat:</t>
        </r>
        <r>
          <rPr>
            <sz val="9"/>
            <color indexed="81"/>
            <rFont val="Tahoma"/>
            <family val="2"/>
          </rPr>
          <t xml:space="preserve">
Anvendes i Takstblad arket</t>
        </r>
      </text>
    </comment>
    <comment ref="B35" authorId="0" shapeId="0" xr:uid="{85799679-95AE-48AA-8104-59D894516415}">
      <text>
        <r>
          <rPr>
            <b/>
            <sz val="9"/>
            <color indexed="81"/>
            <rFont val="Tahoma"/>
            <family val="2"/>
          </rPr>
          <t>nhat:</t>
        </r>
        <r>
          <rPr>
            <sz val="9"/>
            <color indexed="81"/>
            <rFont val="Tahoma"/>
            <family val="2"/>
          </rPr>
          <t xml:space="preserve">
Samlet for grave, bore og skyde</t>
        </r>
      </text>
    </comment>
    <comment ref="C46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nhat:</t>
        </r>
        <r>
          <rPr>
            <sz val="9"/>
            <color indexed="81"/>
            <rFont val="Tahoma"/>
            <family val="2"/>
          </rPr>
          <t xml:space="preserve">
Anvendes i Takstblad arket</t>
        </r>
      </text>
    </comment>
    <comment ref="B58" authorId="1" shapeId="0" xr:uid="{00000000-0006-0000-0200-000004000000}">
      <text>
        <r>
          <rPr>
            <b/>
            <sz val="9"/>
            <color indexed="81"/>
            <rFont val="Tahoma"/>
            <charset val="1"/>
          </rPr>
          <t>Ebbe:</t>
        </r>
        <r>
          <rPr>
            <sz val="9"/>
            <color indexed="81"/>
            <rFont val="Tahoma"/>
            <charset val="1"/>
          </rPr>
          <t xml:space="preserve">
Anvendes i Takstblad arket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nhat</author>
    <author>Neel Ploug</author>
  </authors>
  <commentList>
    <comment ref="C2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nhat:</t>
        </r>
        <r>
          <rPr>
            <sz val="9"/>
            <color indexed="81"/>
            <rFont val="Tahoma"/>
            <family val="2"/>
          </rPr>
          <t xml:space="preserve">
'Forsynings- og stikledninger'!C24
</t>
        </r>
      </text>
    </comment>
    <comment ref="C24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nhat:</t>
        </r>
        <r>
          <rPr>
            <sz val="9"/>
            <color indexed="81"/>
            <rFont val="Tahoma"/>
            <family val="2"/>
          </rPr>
          <t xml:space="preserve">
'Forsynings- og stikledninger'!C46
</t>
        </r>
      </text>
    </comment>
    <comment ref="C25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nhat:</t>
        </r>
        <r>
          <rPr>
            <sz val="9"/>
            <color indexed="81"/>
            <rFont val="Tahoma"/>
            <family val="2"/>
          </rPr>
          <t xml:space="preserve">
Forsynings- og stikledninger'!B58
</t>
        </r>
      </text>
    </comment>
    <comment ref="C33" authorId="1" shapeId="0" xr:uid="{00000000-0006-0000-0400-000005000000}">
      <text>
        <r>
          <rPr>
            <b/>
            <sz val="9"/>
            <color indexed="81"/>
            <rFont val="Tahoma"/>
            <family val="2"/>
          </rPr>
          <t>I henhold til rentelovens § 9b må vandværket ikke opkræve mere end 100 kr. i rykkergebyr</t>
        </r>
      </text>
    </comment>
  </commentList>
</comments>
</file>

<file path=xl/sharedStrings.xml><?xml version="1.0" encoding="utf-8"?>
<sst xmlns="http://schemas.openxmlformats.org/spreadsheetml/2006/main" count="151" uniqueCount="110">
  <si>
    <t>Indtægter</t>
  </si>
  <si>
    <t>I alt</t>
  </si>
  <si>
    <t>Fast bidrag</t>
  </si>
  <si>
    <t>Gebyrer</t>
  </si>
  <si>
    <t>Indtægter i alt</t>
  </si>
  <si>
    <t>Ultimo værdi</t>
  </si>
  <si>
    <t>Grunde og bygninger</t>
  </si>
  <si>
    <t>Vandværkets navn</t>
  </si>
  <si>
    <t>Adresse</t>
  </si>
  <si>
    <t>Hjemmeside</t>
  </si>
  <si>
    <t>Telefon</t>
  </si>
  <si>
    <t>Mail</t>
  </si>
  <si>
    <t>kr.</t>
  </si>
  <si>
    <t>Kr.</t>
  </si>
  <si>
    <t xml:space="preserve">Rykkegebyr </t>
  </si>
  <si>
    <t xml:space="preserve">Momsfrit </t>
  </si>
  <si>
    <t xml:space="preserve">  </t>
  </si>
  <si>
    <t>Årstal for takstblad</t>
  </si>
  <si>
    <t>Afgiftssatser:</t>
  </si>
  <si>
    <t>Stikledningsbidrag:</t>
  </si>
  <si>
    <t>Bidrag - fast og variabelt</t>
  </si>
  <si>
    <t>Seneste regnskabsår</t>
  </si>
  <si>
    <t>Produktionsomkostninger</t>
  </si>
  <si>
    <t>Distributionsomkostninger</t>
  </si>
  <si>
    <t>Administrationsomkostninger</t>
  </si>
  <si>
    <t>Omkostninger i alt</t>
  </si>
  <si>
    <r>
      <t>Statsafgift af ledningsført vand pr. 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(Vandskat) inkl. bidrag til grundvandskortlægning.</t>
    </r>
  </si>
  <si>
    <t>Samme side</t>
  </si>
  <si>
    <t>Modsatte side</t>
  </si>
  <si>
    <t>Gravearbejde</t>
  </si>
  <si>
    <t>Skydning af stikledning</t>
  </si>
  <si>
    <t>VVS-arbejdsløn</t>
  </si>
  <si>
    <t>Antal meter forsyningsledning</t>
  </si>
  <si>
    <t>Ventiler, spindler m.m.</t>
  </si>
  <si>
    <t>Enhedspris</t>
  </si>
  <si>
    <t>meter</t>
  </si>
  <si>
    <t>Antal ejendomme</t>
  </si>
  <si>
    <t>ejendomme</t>
  </si>
  <si>
    <t>Nøgletal:</t>
  </si>
  <si>
    <t>Pris pr. meter</t>
  </si>
  <si>
    <t>Forsyningsledningsbidrag pr. ejendom</t>
  </si>
  <si>
    <t>Stikledningsbidrag</t>
  </si>
  <si>
    <t>Forsyningsledningsbidrag i byzone:</t>
  </si>
  <si>
    <t>Anboringsbøjle, stikledning, ventil, spindel m.m.</t>
  </si>
  <si>
    <r>
      <t>Pris pr. m</t>
    </r>
    <r>
      <rPr>
        <vertAlign val="superscript"/>
        <sz val="10"/>
        <color theme="1"/>
        <rFont val="Arial"/>
        <family val="2"/>
      </rPr>
      <t>3</t>
    </r>
  </si>
  <si>
    <t xml:space="preserve">Ekskl. moms </t>
  </si>
  <si>
    <t xml:space="preserve">Inkl. moms </t>
  </si>
  <si>
    <t>Pr. boligenhed</t>
  </si>
  <si>
    <t>Ekskl. moms</t>
  </si>
  <si>
    <t>Inkl. moms</t>
  </si>
  <si>
    <t>Ekskl. Moms</t>
  </si>
  <si>
    <t>Postnummer og by</t>
  </si>
  <si>
    <r>
      <t>Fordeling af takster på henholdsvis fast bidrag og 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-bidrag:</t>
    </r>
  </si>
  <si>
    <t>Genåbningsgebyr 1)</t>
  </si>
  <si>
    <t>1) Hertil kommer faktiske udgifter.</t>
  </si>
  <si>
    <t>Afgifter i alt</t>
  </si>
  <si>
    <t>Resultat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</si>
  <si>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-bidrag</t>
    </r>
  </si>
  <si>
    <r>
      <t>Forsyningsledningsbidrag i</t>
    </r>
    <r>
      <rPr>
        <b/>
        <i/>
        <sz val="10"/>
        <rFont val="Arial"/>
        <family val="2"/>
      </rPr>
      <t xml:space="preserve"> byzone</t>
    </r>
  </si>
  <si>
    <r>
      <t>Forsyningsledningsbidrag i</t>
    </r>
    <r>
      <rPr>
        <b/>
        <i/>
        <sz val="10"/>
        <rFont val="Arial"/>
        <family val="2"/>
      </rPr>
      <t xml:space="preserve"> landzone</t>
    </r>
  </si>
  <si>
    <t>Projektering af ledningerne</t>
  </si>
  <si>
    <t>Registrering af ledningerne/landmåler</t>
  </si>
  <si>
    <t>Uforudsete udgifter</t>
  </si>
  <si>
    <r>
      <rPr>
        <sz val="10"/>
        <color theme="1"/>
        <rFont val="Arial"/>
        <family val="2"/>
      </rPr>
      <t>Med forbrug  0 – 500 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/år</t>
    </r>
  </si>
  <si>
    <r>
      <t>Med forbrug  500 – 1000 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/år</t>
    </r>
  </si>
  <si>
    <t>Fast årligt bidrag pr. boligenhed eller måler</t>
  </si>
  <si>
    <r>
      <t>Med forbrug  1000 – 2000 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/år</t>
    </r>
  </si>
  <si>
    <r>
      <t>Med forbrug  2000 – 5000 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/år</t>
    </r>
  </si>
  <si>
    <t xml:space="preserve">Driftsbidrag </t>
  </si>
  <si>
    <t>Anlægsbidrag</t>
  </si>
  <si>
    <t>Der vil uanset det samelde forbrugs størrelse blive beregnet et hovedanlægsbidrag pr. boligenhed ved ejendomme med flere boliger.</t>
  </si>
  <si>
    <t>Gebyr for oplysninger til advokat/ejendomsmægler ved hushandel eller flytning</t>
  </si>
  <si>
    <t>Gravearbejde pr. meter ledning</t>
  </si>
  <si>
    <t>Skydning af ny ledning pr. meter</t>
  </si>
  <si>
    <t>Forsyningsledning pr. meter rør</t>
  </si>
  <si>
    <t xml:space="preserve">    Heraf gravning</t>
  </si>
  <si>
    <t xml:space="preserve">    Heraf skydning</t>
  </si>
  <si>
    <t xml:space="preserve">    Heraf boring</t>
  </si>
  <si>
    <t>Antal stikledninger</t>
  </si>
  <si>
    <t>I alt pr. stikledning</t>
  </si>
  <si>
    <t>Gennemsnit pr. stikledning til takstblad</t>
  </si>
  <si>
    <t xml:space="preserve">Gravearbejde </t>
  </si>
  <si>
    <t xml:space="preserve">Skydning af ny ledning </t>
  </si>
  <si>
    <t xml:space="preserve">Boring af ny ledning </t>
  </si>
  <si>
    <t xml:space="preserve">Forsyningsledning </t>
  </si>
  <si>
    <t>Afskrevet værdi</t>
  </si>
  <si>
    <t xml:space="preserve">Hovedsanlægsbidrag for ejendomme med forbrug over 5000 m3/år fastlægges efter forhandling. </t>
  </si>
  <si>
    <t>Forsyningsledningsbidrag i landzone:</t>
  </si>
  <si>
    <t>Målebrønd og måler</t>
  </si>
  <si>
    <t>Hellested Vandværk</t>
  </si>
  <si>
    <t>Maglehøjvej/Bækager</t>
  </si>
  <si>
    <t>4652 Hårlev</t>
  </si>
  <si>
    <t>www.hellestedvand.dk</t>
  </si>
  <si>
    <t>6179 3814</t>
  </si>
  <si>
    <t>kasserer@hellestedvand.dk</t>
  </si>
  <si>
    <t>Andet, jf. budget 2019</t>
  </si>
  <si>
    <t>Gravearbejde af ny ledning pr. meter</t>
  </si>
  <si>
    <t>Gravning</t>
  </si>
  <si>
    <t>Flyttteopgørelse</t>
  </si>
  <si>
    <t>1. Hovedanlægsbidrag:</t>
  </si>
  <si>
    <t>3. Stikledningsbidrag pr. stk</t>
  </si>
  <si>
    <t>Tilslutningsbidrag i alt som standard i byområde 1+2+3</t>
  </si>
  <si>
    <t>Tilslutningsbidrag i alt som standard i landområde 1+2a+3</t>
  </si>
  <si>
    <t>Rykkegebyr (anbefalet brev)</t>
  </si>
  <si>
    <t>Gebyr for lukning af vand (forsegling)</t>
  </si>
  <si>
    <t>Faktiske omkostninger</t>
  </si>
  <si>
    <t>CVR-nr.</t>
  </si>
  <si>
    <t>2. Forsyningsledningsbidrag i byzone pr. ejendom</t>
  </si>
  <si>
    <t>2a. Forsyningsledningsbidrag i landzone pr. ejendom</t>
  </si>
  <si>
    <t>Drifts- og anlægsbidrag godkendt af Stevns Kommune den 19.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</si>
</sst>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##\ ##\ ##\ ##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10" fillId="0" borderId="0" xfId="0" applyFont="1"/>
    <xf numFmtId="0" fontId="14" fillId="0" borderId="0" xfId="0" applyFont="1"/>
    <xf numFmtId="0" fontId="10" fillId="0" borderId="0" xfId="0" applyFont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0" fillId="0" borderId="7" xfId="0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3" fontId="0" fillId="2" borderId="9" xfId="0" applyNumberFormat="1" applyFill="1" applyBorder="1" applyProtection="1">
      <protection locked="0"/>
    </xf>
    <xf numFmtId="3" fontId="0" fillId="0" borderId="9" xfId="0" applyNumberFormat="1" applyBorder="1"/>
    <xf numFmtId="0" fontId="18" fillId="0" borderId="8" xfId="0" applyFont="1" applyBorder="1"/>
    <xf numFmtId="4" fontId="0" fillId="2" borderId="9" xfId="0" applyNumberFormat="1" applyFill="1" applyBorder="1" applyProtection="1">
      <protection locked="0"/>
    </xf>
    <xf numFmtId="0" fontId="10" fillId="0" borderId="8" xfId="0" applyFont="1" applyBorder="1"/>
    <xf numFmtId="9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3" fontId="10" fillId="0" borderId="0" xfId="0" applyNumberFormat="1" applyFont="1"/>
    <xf numFmtId="0" fontId="26" fillId="0" borderId="0" xfId="0" applyFont="1"/>
    <xf numFmtId="0" fontId="0" fillId="0" borderId="6" xfId="0" applyBorder="1"/>
    <xf numFmtId="0" fontId="10" fillId="0" borderId="6" xfId="0" applyFont="1" applyBorder="1" applyAlignment="1">
      <alignment horizontal="center"/>
    </xf>
    <xf numFmtId="43" fontId="25" fillId="0" borderId="5" xfId="1" applyFont="1" applyBorder="1" applyAlignment="1">
      <alignment horizontal="right" vertical="center" wrapText="1"/>
    </xf>
    <xf numFmtId="0" fontId="21" fillId="0" borderId="0" xfId="0" applyFont="1" applyAlignment="1">
      <alignment horizontal="center"/>
    </xf>
    <xf numFmtId="0" fontId="14" fillId="0" borderId="6" xfId="0" applyFont="1" applyBorder="1"/>
    <xf numFmtId="0" fontId="13" fillId="0" borderId="6" xfId="0" applyFont="1" applyBorder="1"/>
    <xf numFmtId="3" fontId="10" fillId="0" borderId="6" xfId="0" applyNumberFormat="1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6" fillId="0" borderId="6" xfId="2" applyFont="1" applyBorder="1" applyAlignment="1" applyProtection="1"/>
    <xf numFmtId="0" fontId="10" fillId="0" borderId="6" xfId="0" applyFont="1" applyBorder="1"/>
    <xf numFmtId="3" fontId="0" fillId="0" borderId="6" xfId="0" applyNumberFormat="1" applyBorder="1"/>
    <xf numFmtId="3" fontId="10" fillId="0" borderId="6" xfId="0" applyNumberFormat="1" applyFont="1" applyBorder="1"/>
    <xf numFmtId="0" fontId="21" fillId="0" borderId="0" xfId="0" applyFont="1"/>
    <xf numFmtId="0" fontId="27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43" fontId="26" fillId="0" borderId="0" xfId="1" applyFont="1"/>
    <xf numFmtId="0" fontId="30" fillId="0" borderId="0" xfId="0" applyFont="1" applyAlignment="1">
      <alignment vertical="center"/>
    </xf>
    <xf numFmtId="0" fontId="31" fillId="0" borderId="0" xfId="0" applyFont="1"/>
    <xf numFmtId="43" fontId="31" fillId="0" borderId="0" xfId="1" applyFont="1"/>
    <xf numFmtId="0" fontId="25" fillId="0" borderId="2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43" fontId="25" fillId="0" borderId="3" xfId="1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43" fontId="28" fillId="0" borderId="5" xfId="1" applyFont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28" fillId="0" borderId="3" xfId="0" applyFont="1" applyBorder="1" applyAlignment="1">
      <alignment vertical="center" wrapText="1"/>
    </xf>
    <xf numFmtId="43" fontId="28" fillId="2" borderId="5" xfId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 wrapText="1"/>
    </xf>
    <xf numFmtId="43" fontId="25" fillId="0" borderId="0" xfId="1" applyFont="1" applyAlignment="1">
      <alignment horizontal="right" vertical="center" wrapText="1"/>
    </xf>
    <xf numFmtId="4" fontId="10" fillId="0" borderId="9" xfId="0" applyNumberFormat="1" applyFont="1" applyBorder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14" fillId="0" borderId="7" xfId="0" applyFont="1" applyBorder="1"/>
    <xf numFmtId="0" fontId="34" fillId="0" borderId="0" xfId="0" applyFont="1" applyAlignment="1">
      <alignment horizontal="left"/>
    </xf>
    <xf numFmtId="3" fontId="13" fillId="2" borderId="6" xfId="1" applyNumberFormat="1" applyFont="1" applyFill="1" applyBorder="1" applyAlignment="1" applyProtection="1">
      <alignment horizontal="right"/>
      <protection locked="0"/>
    </xf>
    <xf numFmtId="0" fontId="25" fillId="0" borderId="0" xfId="0" applyFont="1"/>
    <xf numFmtId="3" fontId="0" fillId="2" borderId="6" xfId="1" applyNumberFormat="1" applyFont="1" applyFill="1" applyBorder="1" applyProtection="1">
      <protection locked="0"/>
    </xf>
    <xf numFmtId="0" fontId="39" fillId="0" borderId="0" xfId="0" applyFont="1"/>
    <xf numFmtId="0" fontId="40" fillId="4" borderId="0" xfId="0" applyFont="1" applyFill="1" applyProtection="1">
      <protection locked="0"/>
    </xf>
    <xf numFmtId="0" fontId="39" fillId="0" borderId="10" xfId="0" applyFont="1" applyBorder="1"/>
    <xf numFmtId="0" fontId="37" fillId="0" borderId="0" xfId="0" applyFont="1" applyAlignment="1">
      <alignment horizontal="center" vertical="center"/>
    </xf>
    <xf numFmtId="0" fontId="0" fillId="2" borderId="6" xfId="0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5" borderId="6" xfId="0" applyNumberFormat="1" applyFill="1" applyBorder="1"/>
    <xf numFmtId="3" fontId="10" fillId="5" borderId="6" xfId="0" applyNumberFormat="1" applyFont="1" applyFill="1" applyBorder="1"/>
    <xf numFmtId="0" fontId="38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164" fontId="28" fillId="5" borderId="5" xfId="1" applyNumberFormat="1" applyFont="1" applyFill="1" applyBorder="1" applyAlignment="1">
      <alignment horizontal="right" vertical="center" wrapText="1"/>
    </xf>
    <xf numFmtId="43" fontId="28" fillId="5" borderId="5" xfId="1" applyFont="1" applyFill="1" applyBorder="1" applyAlignment="1">
      <alignment horizontal="right" vertical="center" wrapText="1"/>
    </xf>
    <xf numFmtId="164" fontId="28" fillId="0" borderId="5" xfId="1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43" fontId="25" fillId="5" borderId="5" xfId="1" applyFont="1" applyFill="1" applyBorder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" fontId="0" fillId="2" borderId="9" xfId="0" applyNumberFormat="1" applyFill="1" applyBorder="1"/>
    <xf numFmtId="0" fontId="41" fillId="0" borderId="0" xfId="0" applyFont="1"/>
    <xf numFmtId="3" fontId="0" fillId="2" borderId="6" xfId="0" applyNumberFormat="1" applyFill="1" applyBorder="1"/>
    <xf numFmtId="3" fontId="10" fillId="5" borderId="0" xfId="0" applyNumberFormat="1" applyFont="1" applyFill="1"/>
    <xf numFmtId="0" fontId="16" fillId="6" borderId="6" xfId="2" applyFont="1" applyFill="1" applyBorder="1" applyAlignment="1" applyProtection="1"/>
    <xf numFmtId="0" fontId="13" fillId="6" borderId="6" xfId="0" applyFont="1" applyFill="1" applyBorder="1"/>
    <xf numFmtId="3" fontId="10" fillId="2" borderId="6" xfId="0" applyNumberFormat="1" applyFont="1" applyFill="1" applyBorder="1"/>
    <xf numFmtId="164" fontId="39" fillId="0" borderId="10" xfId="1" applyNumberFormat="1" applyFont="1" applyBorder="1"/>
    <xf numFmtId="3" fontId="0" fillId="2" borderId="9" xfId="1" applyNumberFormat="1" applyFont="1" applyFill="1" applyBorder="1" applyProtection="1">
      <protection locked="0"/>
    </xf>
    <xf numFmtId="3" fontId="0" fillId="7" borderId="6" xfId="0" applyNumberFormat="1" applyFill="1" applyBorder="1" applyProtection="1">
      <protection locked="0"/>
    </xf>
    <xf numFmtId="0" fontId="4" fillId="0" borderId="0" xfId="0" applyFont="1"/>
    <xf numFmtId="0" fontId="0" fillId="2" borderId="8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165" fontId="0" fillId="2" borderId="8" xfId="0" applyNumberFormat="1" applyFill="1" applyBorder="1" applyAlignment="1" applyProtection="1">
      <alignment horizontal="right"/>
      <protection locked="0"/>
    </xf>
    <xf numFmtId="165" fontId="0" fillId="2" borderId="9" xfId="0" applyNumberFormat="1" applyFill="1" applyBorder="1" applyAlignment="1" applyProtection="1">
      <alignment horizontal="right"/>
      <protection locked="0"/>
    </xf>
    <xf numFmtId="0" fontId="15" fillId="2" borderId="8" xfId="2" applyFill="1" applyBorder="1" applyAlignment="1">
      <alignment horizontal="right"/>
      <protection locked="0"/>
    </xf>
    <xf numFmtId="0" fontId="15" fillId="2" borderId="9" xfId="2" applyFill="1" applyBorder="1" applyAlignment="1">
      <alignment horizontal="right"/>
      <protection locked="0"/>
    </xf>
    <xf numFmtId="0" fontId="24" fillId="0" borderId="0" xfId="0" applyFont="1" applyAlignment="1">
      <alignment horizontal="center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7" fillId="0" borderId="0" xfId="0" applyFont="1" applyAlignment="1">
      <alignment horizontal="center"/>
    </xf>
    <xf numFmtId="1" fontId="0" fillId="0" borderId="6" xfId="0" applyNumberForma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165" fontId="26" fillId="0" borderId="0" xfId="1" applyNumberFormat="1" applyFont="1" applyAlignment="1">
      <alignment horizontal="right"/>
    </xf>
    <xf numFmtId="43" fontId="5" fillId="0" borderId="0" xfId="1" applyFont="1" applyAlignment="1">
      <alignment horizontal="right"/>
    </xf>
    <xf numFmtId="43" fontId="26" fillId="0" borderId="0" xfId="1" applyFont="1" applyAlignment="1">
      <alignment horizontal="right"/>
    </xf>
    <xf numFmtId="0" fontId="28" fillId="0" borderId="12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43" fontId="2" fillId="2" borderId="11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5" fillId="8" borderId="0" xfId="0" applyFont="1" applyFill="1" applyAlignment="1">
      <alignment horizontal="left" vertical="center" wrapText="1"/>
    </xf>
    <xf numFmtId="0" fontId="28" fillId="8" borderId="0" xfId="0" applyFont="1" applyFill="1" applyAlignment="1">
      <alignment horizontal="left" vertical="center" wrapText="1"/>
    </xf>
    <xf numFmtId="164" fontId="28" fillId="8" borderId="0" xfId="0" applyNumberFormat="1" applyFont="1" applyFill="1" applyAlignment="1">
      <alignment horizontal="left" vertical="center" wrapText="1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colors>
    <mruColors>
      <color rgb="FFFFFF66"/>
      <color rgb="FFCCFFFF"/>
      <color rgb="FFFFFF99"/>
      <color rgb="FFFF66CC"/>
      <color rgb="FF66FFFF"/>
      <color rgb="FFCCFFCC"/>
      <color rgb="FFCCE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sserer@hellestedvand.dk" TargetMode="External"/><Relationship Id="rId1" Type="http://schemas.openxmlformats.org/officeDocument/2006/relationships/hyperlink" Target="http://www.hellestedvand.dk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opLeftCell="A19" zoomScale="130" zoomScaleNormal="130" workbookViewId="0">
      <selection activeCell="B9" sqref="B9:C9"/>
    </sheetView>
  </sheetViews>
  <sheetFormatPr defaultRowHeight="15" x14ac:dyDescent="0.25"/>
  <cols>
    <col min="1" max="1" width="35.7109375" customWidth="1"/>
    <col min="2" max="2" width="15.7109375" customWidth="1"/>
    <col min="3" max="3" width="12.7109375" customWidth="1"/>
    <col min="5" max="5" width="7.28515625" customWidth="1"/>
    <col min="6" max="6" width="9.7109375" customWidth="1"/>
    <col min="7" max="7" width="7.85546875" customWidth="1"/>
  </cols>
  <sheetData>
    <row r="1" spans="1:10" ht="23.25" x14ac:dyDescent="0.35">
      <c r="A1" s="101" t="str">
        <f>"Stamdata for "&amp;Vnavn</f>
        <v>Stamdata for Hellested Vandværk</v>
      </c>
      <c r="B1" s="101"/>
      <c r="C1" s="101"/>
      <c r="D1" s="9"/>
      <c r="E1" s="9"/>
      <c r="F1" s="9"/>
    </row>
    <row r="2" spans="1:10" ht="1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customHeight="1" x14ac:dyDescent="0.35">
      <c r="A3" s="4" t="s">
        <v>7</v>
      </c>
      <c r="B3" s="102" t="s">
        <v>89</v>
      </c>
      <c r="C3" s="103"/>
      <c r="E3" s="8"/>
      <c r="F3" s="8"/>
    </row>
    <row r="4" spans="1:10" ht="15.75" customHeight="1" x14ac:dyDescent="0.35">
      <c r="A4" s="4" t="s">
        <v>8</v>
      </c>
      <c r="B4" s="102" t="s">
        <v>90</v>
      </c>
      <c r="C4" s="103"/>
      <c r="E4" s="8"/>
      <c r="F4" s="8"/>
    </row>
    <row r="5" spans="1:10" ht="15.75" customHeight="1" x14ac:dyDescent="0.35">
      <c r="A5" s="4" t="s">
        <v>51</v>
      </c>
      <c r="B5" s="102" t="s">
        <v>91</v>
      </c>
      <c r="C5" s="103"/>
      <c r="E5" s="8"/>
      <c r="F5" s="8"/>
    </row>
    <row r="6" spans="1:10" ht="15.75" customHeight="1" x14ac:dyDescent="0.35">
      <c r="A6" s="4" t="s">
        <v>106</v>
      </c>
      <c r="B6" s="89"/>
      <c r="C6" s="90">
        <v>33435452</v>
      </c>
      <c r="E6" s="8"/>
      <c r="F6" s="8"/>
    </row>
    <row r="7" spans="1:10" ht="15.75" customHeight="1" x14ac:dyDescent="0.35">
      <c r="A7" s="4" t="s">
        <v>9</v>
      </c>
      <c r="B7" s="99" t="s">
        <v>92</v>
      </c>
      <c r="C7" s="100"/>
      <c r="E7" s="8"/>
      <c r="F7" s="8"/>
    </row>
    <row r="8" spans="1:10" ht="15.75" customHeight="1" x14ac:dyDescent="0.35">
      <c r="A8" s="4" t="s">
        <v>10</v>
      </c>
      <c r="B8" s="97" t="s">
        <v>93</v>
      </c>
      <c r="C8" s="98"/>
      <c r="E8" s="8"/>
      <c r="F8" s="8"/>
    </row>
    <row r="9" spans="1:10" ht="15.75" customHeight="1" x14ac:dyDescent="0.35">
      <c r="A9" s="4" t="s">
        <v>11</v>
      </c>
      <c r="B9" s="99" t="s">
        <v>94</v>
      </c>
      <c r="C9" s="100"/>
      <c r="E9" s="8"/>
      <c r="F9" s="8"/>
    </row>
    <row r="10" spans="1:10" x14ac:dyDescent="0.25">
      <c r="A10" s="4"/>
      <c r="B10" s="5"/>
      <c r="C10" s="6"/>
      <c r="D10" s="18"/>
    </row>
    <row r="11" spans="1:10" x14ac:dyDescent="0.25">
      <c r="A11" s="4" t="s">
        <v>17</v>
      </c>
      <c r="B11" s="5"/>
      <c r="C11" s="16">
        <v>2020</v>
      </c>
      <c r="D11" s="18"/>
    </row>
    <row r="12" spans="1:10" x14ac:dyDescent="0.25">
      <c r="A12" s="4" t="s">
        <v>21</v>
      </c>
      <c r="B12" s="5"/>
      <c r="C12" s="78">
        <v>2018</v>
      </c>
      <c r="D12" s="18"/>
    </row>
    <row r="13" spans="1:10" x14ac:dyDescent="0.25">
      <c r="A13" s="4" t="str">
        <f>"Budgetteret bidrag - fast og variabelt for "&amp;TakstÅr</f>
        <v>Budgetteret bidrag - fast og variabelt for 2020</v>
      </c>
      <c r="B13" s="5"/>
      <c r="C13" s="86">
        <v>296000</v>
      </c>
      <c r="D13" s="18"/>
    </row>
    <row r="14" spans="1:10" x14ac:dyDescent="0.25">
      <c r="A14" s="4" t="str">
        <f>"Budgetteret antal boligenheder "&amp;TakstÅr</f>
        <v>Budgetteret antal boligenheder 2020</v>
      </c>
      <c r="B14" s="5"/>
      <c r="C14" s="10">
        <v>264</v>
      </c>
      <c r="D14" s="18"/>
    </row>
    <row r="15" spans="1:10" ht="15" customHeight="1" x14ac:dyDescent="0.25">
      <c r="A15" s="4" t="str">
        <f>"Budgetteret debiteret mængde i m3 for "&amp;TakstÅr</f>
        <v>Budgetteret debiteret mængde i m3 for 2020</v>
      </c>
      <c r="B15" s="5"/>
      <c r="C15" s="10">
        <v>21500</v>
      </c>
      <c r="D15" s="18"/>
    </row>
    <row r="16" spans="1:10" x14ac:dyDescent="0.25">
      <c r="A16" s="4"/>
      <c r="B16" s="5"/>
      <c r="C16" s="11"/>
      <c r="D16" s="18"/>
    </row>
    <row r="17" spans="1:4" x14ac:dyDescent="0.25">
      <c r="A17" s="7" t="s">
        <v>18</v>
      </c>
      <c r="B17" s="12"/>
      <c r="C17" s="11"/>
      <c r="D17" s="18"/>
    </row>
    <row r="18" spans="1:4" x14ac:dyDescent="0.25">
      <c r="A18" s="4" t="str">
        <f>"Afgift af ledningsført vand (Statsafgift) "&amp;TakstÅr</f>
        <v>Afgift af ledningsført vand (Statsafgift) 2020</v>
      </c>
      <c r="B18" s="5"/>
      <c r="C18" s="13">
        <v>6.18</v>
      </c>
    </row>
    <row r="19" spans="1:4" x14ac:dyDescent="0.25">
      <c r="A19" s="4" t="str">
        <f>"Drikkevandsbidrag (Grundvandskortlægning) "&amp;TakstÅr</f>
        <v>Drikkevandsbidrag (Grundvandskortlægning) 2020</v>
      </c>
      <c r="B19" s="5"/>
      <c r="C19" s="13">
        <v>0.19</v>
      </c>
    </row>
    <row r="20" spans="1:4" x14ac:dyDescent="0.25">
      <c r="A20" s="7" t="s">
        <v>55</v>
      </c>
      <c r="B20" s="5"/>
      <c r="C20" s="49">
        <f>SUM(C18:C19)</f>
        <v>6.37</v>
      </c>
      <c r="D20" s="18"/>
    </row>
    <row r="21" spans="1:4" x14ac:dyDescent="0.25">
      <c r="A21" s="4"/>
      <c r="B21" s="5"/>
      <c r="C21" s="11"/>
      <c r="D21" s="18"/>
    </row>
    <row r="22" spans="1:4" ht="17.25" x14ac:dyDescent="0.25">
      <c r="A22" s="7" t="s">
        <v>52</v>
      </c>
      <c r="B22" s="14"/>
      <c r="C22" s="6"/>
      <c r="D22" s="18"/>
    </row>
    <row r="23" spans="1:4" x14ac:dyDescent="0.25">
      <c r="A23" s="4" t="s">
        <v>2</v>
      </c>
      <c r="B23" s="5"/>
      <c r="C23" s="15">
        <v>0.4</v>
      </c>
    </row>
    <row r="24" spans="1:4" ht="17.25" x14ac:dyDescent="0.25">
      <c r="A24" s="4" t="s">
        <v>57</v>
      </c>
      <c r="B24" s="5"/>
      <c r="C24" s="15">
        <v>0.6</v>
      </c>
    </row>
    <row r="25" spans="1:4" x14ac:dyDescent="0.25">
      <c r="A25" s="79"/>
    </row>
  </sheetData>
  <mergeCells count="7">
    <mergeCell ref="B8:C8"/>
    <mergeCell ref="B9:C9"/>
    <mergeCell ref="A1:C1"/>
    <mergeCell ref="B3:C3"/>
    <mergeCell ref="B4:C4"/>
    <mergeCell ref="B5:C5"/>
    <mergeCell ref="B7:C7"/>
  </mergeCells>
  <hyperlinks>
    <hyperlink ref="B7" r:id="rId1" xr:uid="{00000000-0004-0000-0000-000000000000}"/>
    <hyperlink ref="B9" r:id="rId2" xr:uid="{00000000-0004-0000-0000-000001000000}"/>
  </hyperlinks>
  <printOptions horizontalCentered="1"/>
  <pageMargins left="0.59055118110236227" right="0.59055118110236227" top="0.39370078740157483" bottom="0.59055118110236227" header="0.19685039370078741" footer="0.19685039370078741"/>
  <pageSetup paperSize="9" scale="125" orientation="portrait" r:id="rId3"/>
  <headerFooter>
    <oddFooter>Side &amp;P af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>
      <pane ySplit="1" topLeftCell="A17" activePane="bottomLeft" state="frozen"/>
      <selection pane="bottomLeft" activeCell="G12" sqref="G12"/>
    </sheetView>
  </sheetViews>
  <sheetFormatPr defaultRowHeight="15" x14ac:dyDescent="0.25"/>
  <cols>
    <col min="1" max="1" width="40.7109375" customWidth="1"/>
    <col min="2" max="4" width="15.7109375" customWidth="1"/>
    <col min="7" max="7" width="28.28515625" customWidth="1"/>
    <col min="8" max="8" width="11.140625" customWidth="1"/>
    <col min="9" max="9" width="11.7109375" customWidth="1"/>
    <col min="11" max="11" width="12.140625" customWidth="1"/>
  </cols>
  <sheetData>
    <row r="1" spans="1:4" ht="18.75" x14ac:dyDescent="0.3">
      <c r="A1" s="104" t="str">
        <f>"Regnskab og budget for "&amp;Vnavn&amp;" "&amp;(TakstÅr-1)&amp;" - "&amp;TakstÅr</f>
        <v>Regnskab og budget for Hellested Vandværk 2019 - 2020</v>
      </c>
      <c r="B1" s="104"/>
      <c r="C1" s="104"/>
      <c r="D1" s="104"/>
    </row>
    <row r="3" spans="1:4" x14ac:dyDescent="0.25">
      <c r="B3" s="1" t="str">
        <f>"Regnskab "&amp;RegnÅr</f>
        <v>Regnskab 2018</v>
      </c>
      <c r="C3" s="3" t="str">
        <f>"Budget "&amp;TakstÅr-1</f>
        <v>Budget 2019</v>
      </c>
      <c r="D3" s="3" t="str">
        <f>"Budget "&amp;TakstÅr</f>
        <v>Budget 2020</v>
      </c>
    </row>
    <row r="5" spans="1:4" x14ac:dyDescent="0.25">
      <c r="A5" s="57" t="s">
        <v>0</v>
      </c>
    </row>
    <row r="6" spans="1:4" x14ac:dyDescent="0.25">
      <c r="A6" s="58" t="s">
        <v>20</v>
      </c>
      <c r="B6" s="56">
        <v>375000</v>
      </c>
      <c r="C6" s="56">
        <v>296000</v>
      </c>
      <c r="D6" s="56">
        <v>361000</v>
      </c>
    </row>
    <row r="7" spans="1:4" x14ac:dyDescent="0.25">
      <c r="A7" s="57" t="s">
        <v>4</v>
      </c>
      <c r="B7" s="56">
        <f>+B6</f>
        <v>375000</v>
      </c>
      <c r="C7" s="56">
        <f t="shared" ref="C7:D7" si="0">+C6</f>
        <v>296000</v>
      </c>
      <c r="D7" s="56">
        <f t="shared" si="0"/>
        <v>361000</v>
      </c>
    </row>
    <row r="9" spans="1:4" x14ac:dyDescent="0.25">
      <c r="A9" s="57" t="s">
        <v>22</v>
      </c>
      <c r="B9" s="56">
        <v>115000</v>
      </c>
      <c r="C9" s="56">
        <v>124000</v>
      </c>
      <c r="D9" s="56">
        <v>124000</v>
      </c>
    </row>
    <row r="10" spans="1:4" x14ac:dyDescent="0.25">
      <c r="A10" s="57"/>
    </row>
    <row r="11" spans="1:4" x14ac:dyDescent="0.25">
      <c r="A11" s="57" t="s">
        <v>23</v>
      </c>
      <c r="B11" s="56">
        <v>130000</v>
      </c>
      <c r="C11" s="56">
        <v>112000</v>
      </c>
      <c r="D11" s="56">
        <v>123000</v>
      </c>
    </row>
    <row r="13" spans="1:4" x14ac:dyDescent="0.25">
      <c r="A13" s="57" t="s">
        <v>24</v>
      </c>
      <c r="B13" s="56">
        <v>131000</v>
      </c>
      <c r="C13" s="56">
        <v>91000</v>
      </c>
      <c r="D13" s="56">
        <v>130000</v>
      </c>
    </row>
    <row r="15" spans="1:4" ht="15.75" thickBot="1" x14ac:dyDescent="0.3">
      <c r="A15" s="59" t="s">
        <v>25</v>
      </c>
      <c r="B15" s="59">
        <f>SUM(B9+B11+B13)</f>
        <v>376000</v>
      </c>
      <c r="C15" s="59">
        <f t="shared" ref="C15:D15" si="1">SUM(C9+C11+C13)</f>
        <v>327000</v>
      </c>
      <c r="D15" s="59">
        <f t="shared" si="1"/>
        <v>377000</v>
      </c>
    </row>
    <row r="16" spans="1:4" ht="15.75" thickTop="1" x14ac:dyDescent="0.25">
      <c r="A16" s="57"/>
      <c r="B16" s="1"/>
      <c r="C16" s="1"/>
      <c r="D16" s="1"/>
    </row>
    <row r="17" spans="1:4" ht="15.75" thickBot="1" x14ac:dyDescent="0.3">
      <c r="A17" s="59" t="s">
        <v>56</v>
      </c>
      <c r="B17" s="85">
        <f>B7-B15</f>
        <v>-1000</v>
      </c>
      <c r="C17" s="85">
        <f t="shared" ref="C17:D17" si="2">C7-C15</f>
        <v>-31000</v>
      </c>
      <c r="D17" s="85">
        <f t="shared" si="2"/>
        <v>-16000</v>
      </c>
    </row>
    <row r="18" spans="1:4" ht="15.75" thickTop="1" x14ac:dyDescent="0.25"/>
  </sheetData>
  <sheetProtection insertRows="0"/>
  <mergeCells count="1">
    <mergeCell ref="A1:D1"/>
  </mergeCells>
  <pageMargins left="0.59055118110236227" right="0.59055118110236227" top="0.39370078740157483" bottom="0.59055118110236227" header="0.19685039370078741" footer="0.19685039370078741"/>
  <pageSetup paperSize="9" orientation="portrait" r:id="rId1"/>
  <headerFooter>
    <oddFooter>Side &amp;P af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8"/>
  <sheetViews>
    <sheetView zoomScaleNormal="100" workbookViewId="0">
      <pane ySplit="3" topLeftCell="A28" activePane="bottomLeft" state="frozen"/>
      <selection pane="bottomLeft" activeCell="F27" sqref="F27"/>
    </sheetView>
  </sheetViews>
  <sheetFormatPr defaultRowHeight="15" x14ac:dyDescent="0.25"/>
  <cols>
    <col min="1" max="1" width="45.7109375" customWidth="1"/>
    <col min="2" max="3" width="14.7109375" customWidth="1"/>
  </cols>
  <sheetData>
    <row r="1" spans="1:6" ht="21" x14ac:dyDescent="0.35">
      <c r="A1" s="107" t="str">
        <f>"Beregning af forsynings- &amp; stikledningsbidrag for"</f>
        <v>Beregning af forsynings- &amp; stikledningsbidrag for</v>
      </c>
      <c r="B1" s="107"/>
      <c r="C1" s="107"/>
    </row>
    <row r="2" spans="1:6" ht="21" x14ac:dyDescent="0.35">
      <c r="A2" s="107" t="str">
        <f>Vnavn</f>
        <v>Hellested Vandværk</v>
      </c>
      <c r="B2" s="107"/>
      <c r="C2" s="107"/>
    </row>
    <row r="3" spans="1:6" x14ac:dyDescent="0.25">
      <c r="A3" s="22"/>
      <c r="B3" s="22"/>
      <c r="C3" s="22"/>
      <c r="D3" s="31"/>
      <c r="E3" s="31"/>
      <c r="F3" s="31"/>
    </row>
    <row r="4" spans="1:6" x14ac:dyDescent="0.25">
      <c r="A4" s="106" t="s">
        <v>58</v>
      </c>
      <c r="B4" s="106"/>
      <c r="C4" s="106"/>
      <c r="D4" s="31"/>
      <c r="E4" s="31"/>
      <c r="F4" s="31"/>
    </row>
    <row r="5" spans="1:6" x14ac:dyDescent="0.25">
      <c r="A5" s="28" t="s">
        <v>38</v>
      </c>
      <c r="B5" s="22"/>
      <c r="C5" s="22"/>
    </row>
    <row r="6" spans="1:6" x14ac:dyDescent="0.25">
      <c r="A6" s="19" t="s">
        <v>32</v>
      </c>
      <c r="B6" s="61">
        <v>10</v>
      </c>
      <c r="C6" s="19" t="s">
        <v>35</v>
      </c>
    </row>
    <row r="7" spans="1:6" x14ac:dyDescent="0.25">
      <c r="A7" s="19" t="s">
        <v>75</v>
      </c>
      <c r="B7" s="61"/>
      <c r="C7" s="19" t="s">
        <v>35</v>
      </c>
    </row>
    <row r="8" spans="1:6" x14ac:dyDescent="0.25">
      <c r="A8" s="19" t="s">
        <v>76</v>
      </c>
      <c r="B8" s="61">
        <v>10</v>
      </c>
      <c r="C8" s="19" t="s">
        <v>35</v>
      </c>
    </row>
    <row r="9" spans="1:6" x14ac:dyDescent="0.25">
      <c r="A9" s="19" t="s">
        <v>77</v>
      </c>
      <c r="B9" s="61"/>
      <c r="C9" s="19" t="s">
        <v>35</v>
      </c>
    </row>
    <row r="10" spans="1:6" x14ac:dyDescent="0.25">
      <c r="A10" s="19" t="s">
        <v>36</v>
      </c>
      <c r="B10" s="61">
        <v>2</v>
      </c>
      <c r="C10" s="19" t="s">
        <v>37</v>
      </c>
    </row>
    <row r="11" spans="1:6" x14ac:dyDescent="0.25">
      <c r="A11" s="1"/>
    </row>
    <row r="12" spans="1:6" x14ac:dyDescent="0.25">
      <c r="A12" s="23" t="s">
        <v>42</v>
      </c>
      <c r="B12" s="25" t="s">
        <v>34</v>
      </c>
      <c r="C12" s="26" t="s">
        <v>1</v>
      </c>
    </row>
    <row r="13" spans="1:6" x14ac:dyDescent="0.25">
      <c r="A13" s="82" t="s">
        <v>81</v>
      </c>
      <c r="B13" s="80"/>
      <c r="C13" s="29">
        <f>+B13*B7</f>
        <v>0</v>
      </c>
    </row>
    <row r="14" spans="1:6" x14ac:dyDescent="0.25">
      <c r="A14" s="82" t="s">
        <v>82</v>
      </c>
      <c r="B14" s="62">
        <v>550</v>
      </c>
      <c r="C14" s="29">
        <f>+B14*B8</f>
        <v>5500</v>
      </c>
    </row>
    <row r="15" spans="1:6" x14ac:dyDescent="0.25">
      <c r="A15" s="82" t="s">
        <v>83</v>
      </c>
      <c r="B15" s="62"/>
      <c r="C15" s="29">
        <f>+B15*B9</f>
        <v>0</v>
      </c>
    </row>
    <row r="16" spans="1:6" x14ac:dyDescent="0.25">
      <c r="A16" s="83" t="s">
        <v>84</v>
      </c>
      <c r="B16" s="62"/>
      <c r="C16" s="29">
        <f>+B16*B6</f>
        <v>0</v>
      </c>
    </row>
    <row r="17" spans="1:8" x14ac:dyDescent="0.25">
      <c r="A17" s="27" t="s">
        <v>33</v>
      </c>
      <c r="B17" s="29"/>
      <c r="C17" s="62">
        <v>0</v>
      </c>
    </row>
    <row r="18" spans="1:8" x14ac:dyDescent="0.25">
      <c r="A18" s="24" t="s">
        <v>31</v>
      </c>
      <c r="B18" s="29"/>
      <c r="C18" s="62">
        <v>0</v>
      </c>
    </row>
    <row r="19" spans="1:8" x14ac:dyDescent="0.25">
      <c r="A19" s="24" t="s">
        <v>60</v>
      </c>
      <c r="B19" s="29"/>
      <c r="C19" s="62"/>
      <c r="G19" s="22"/>
    </row>
    <row r="20" spans="1:8" x14ac:dyDescent="0.25">
      <c r="A20" s="24" t="s">
        <v>61</v>
      </c>
      <c r="B20" s="29"/>
      <c r="C20" s="62"/>
      <c r="D20" s="22"/>
      <c r="E20" s="22"/>
      <c r="F20" s="22"/>
      <c r="G20" s="22"/>
    </row>
    <row r="21" spans="1:8" x14ac:dyDescent="0.25">
      <c r="A21" s="24" t="s">
        <v>62</v>
      </c>
      <c r="B21" s="29"/>
      <c r="C21" s="62">
        <v>0</v>
      </c>
      <c r="D21" s="22"/>
      <c r="E21" s="22"/>
      <c r="F21" s="22"/>
      <c r="G21" s="22"/>
    </row>
    <row r="22" spans="1:8" x14ac:dyDescent="0.25">
      <c r="A22" s="23" t="s">
        <v>1</v>
      </c>
      <c r="B22" s="19"/>
      <c r="C22" s="30">
        <f>SUM(C13:C21)</f>
        <v>5500</v>
      </c>
      <c r="D22" s="31"/>
      <c r="E22" s="31"/>
      <c r="F22" s="31"/>
    </row>
    <row r="23" spans="1:8" x14ac:dyDescent="0.25">
      <c r="A23" s="24" t="s">
        <v>39</v>
      </c>
      <c r="B23" s="19"/>
      <c r="C23" s="63">
        <f>IF(B6&gt;0,C22/B6," ")</f>
        <v>550</v>
      </c>
      <c r="D23" s="31"/>
      <c r="E23" s="31"/>
      <c r="F23" s="31"/>
      <c r="G23" s="31"/>
      <c r="H23" s="31"/>
    </row>
    <row r="24" spans="1:8" x14ac:dyDescent="0.25">
      <c r="A24" s="23" t="s">
        <v>40</v>
      </c>
      <c r="B24" s="19"/>
      <c r="C24" s="64">
        <f>IF(C22&gt;0,C22/B10,0)</f>
        <v>2750</v>
      </c>
      <c r="D24" s="31"/>
      <c r="E24" s="31"/>
      <c r="F24" s="31"/>
      <c r="G24" s="31"/>
      <c r="H24" s="31"/>
    </row>
    <row r="25" spans="1:8" x14ac:dyDescent="0.25">
      <c r="A25" s="22"/>
      <c r="B25" s="22"/>
      <c r="C25" s="22"/>
      <c r="D25" s="31"/>
      <c r="E25" s="31"/>
      <c r="F25" s="31"/>
      <c r="G25" s="31"/>
      <c r="H25" s="31"/>
    </row>
    <row r="26" spans="1:8" x14ac:dyDescent="0.25">
      <c r="A26" s="106" t="s">
        <v>59</v>
      </c>
      <c r="B26" s="106"/>
      <c r="C26" s="106"/>
      <c r="D26" s="65"/>
      <c r="E26" s="55"/>
      <c r="F26" s="55"/>
    </row>
    <row r="27" spans="1:8" x14ac:dyDescent="0.25">
      <c r="A27" s="28" t="s">
        <v>38</v>
      </c>
      <c r="B27" s="22"/>
      <c r="C27" s="22"/>
      <c r="D27" s="65"/>
      <c r="E27" s="55"/>
      <c r="F27" s="55"/>
    </row>
    <row r="28" spans="1:8" x14ac:dyDescent="0.25">
      <c r="A28" s="19" t="s">
        <v>32</v>
      </c>
      <c r="B28" s="61">
        <v>2510</v>
      </c>
      <c r="C28" s="19" t="s">
        <v>35</v>
      </c>
      <c r="D28" s="65"/>
      <c r="E28" s="55"/>
      <c r="F28" s="55"/>
    </row>
    <row r="29" spans="1:8" x14ac:dyDescent="0.25">
      <c r="A29" s="19" t="s">
        <v>97</v>
      </c>
      <c r="B29" s="61">
        <v>1370</v>
      </c>
      <c r="C29" s="19" t="s">
        <v>35</v>
      </c>
      <c r="D29" s="65"/>
      <c r="E29" s="55"/>
      <c r="F29" s="55"/>
    </row>
    <row r="30" spans="1:8" x14ac:dyDescent="0.25">
      <c r="A30" s="19" t="s">
        <v>76</v>
      </c>
      <c r="B30" s="61"/>
      <c r="C30" s="19" t="s">
        <v>35</v>
      </c>
      <c r="D30" s="65"/>
      <c r="E30" s="55"/>
      <c r="F30" s="55"/>
    </row>
    <row r="31" spans="1:8" x14ac:dyDescent="0.25">
      <c r="A31" s="19" t="s">
        <v>77</v>
      </c>
      <c r="B31" s="61"/>
      <c r="C31" s="19" t="s">
        <v>35</v>
      </c>
      <c r="D31" s="65"/>
      <c r="E31" s="55"/>
      <c r="F31" s="55"/>
    </row>
    <row r="32" spans="1:8" x14ac:dyDescent="0.25">
      <c r="A32" s="19" t="s">
        <v>36</v>
      </c>
      <c r="B32" s="61">
        <v>19</v>
      </c>
      <c r="C32" s="19" t="s">
        <v>37</v>
      </c>
      <c r="D32" s="65"/>
      <c r="E32" s="55"/>
      <c r="F32" s="55"/>
    </row>
    <row r="33" spans="1:3" x14ac:dyDescent="0.25">
      <c r="A33" s="1"/>
    </row>
    <row r="34" spans="1:3" x14ac:dyDescent="0.25">
      <c r="A34" s="23" t="s">
        <v>87</v>
      </c>
      <c r="B34" s="25" t="s">
        <v>34</v>
      </c>
      <c r="C34" s="26" t="s">
        <v>1</v>
      </c>
    </row>
    <row r="35" spans="1:3" x14ac:dyDescent="0.25">
      <c r="A35" s="27" t="s">
        <v>72</v>
      </c>
      <c r="B35" s="80">
        <v>140</v>
      </c>
      <c r="C35" s="29">
        <f>+B35*B28</f>
        <v>351400</v>
      </c>
    </row>
    <row r="36" spans="1:3" x14ac:dyDescent="0.25">
      <c r="A36" s="27" t="s">
        <v>73</v>
      </c>
      <c r="B36" s="62"/>
      <c r="C36" s="29">
        <f>+B36*B30</f>
        <v>0</v>
      </c>
    </row>
    <row r="37" spans="1:3" x14ac:dyDescent="0.25">
      <c r="A37" s="27" t="s">
        <v>96</v>
      </c>
      <c r="B37" s="62">
        <v>140</v>
      </c>
      <c r="C37" s="29">
        <f>+B37*B29</f>
        <v>191800</v>
      </c>
    </row>
    <row r="38" spans="1:3" x14ac:dyDescent="0.25">
      <c r="A38" s="24" t="s">
        <v>74</v>
      </c>
      <c r="B38" s="62">
        <v>50</v>
      </c>
      <c r="C38" s="29">
        <f>+B38*(B28+B29)</f>
        <v>194000</v>
      </c>
    </row>
    <row r="39" spans="1:3" x14ac:dyDescent="0.25">
      <c r="A39" s="27" t="s">
        <v>33</v>
      </c>
      <c r="B39" s="29"/>
      <c r="C39" s="62">
        <v>10000</v>
      </c>
    </row>
    <row r="40" spans="1:3" x14ac:dyDescent="0.25">
      <c r="A40" s="24" t="s">
        <v>31</v>
      </c>
      <c r="B40" s="29">
        <v>450</v>
      </c>
      <c r="C40" s="62">
        <v>5000</v>
      </c>
    </row>
    <row r="41" spans="1:3" x14ac:dyDescent="0.25">
      <c r="A41" s="24" t="s">
        <v>60</v>
      </c>
      <c r="B41" s="29"/>
      <c r="C41" s="62"/>
    </row>
    <row r="42" spans="1:3" x14ac:dyDescent="0.25">
      <c r="A42" s="24" t="s">
        <v>61</v>
      </c>
      <c r="B42" s="29">
        <v>10000</v>
      </c>
      <c r="C42" s="62">
        <f>B42*(B28+B29)/1000</f>
        <v>38800</v>
      </c>
    </row>
    <row r="43" spans="1:3" x14ac:dyDescent="0.25">
      <c r="A43" s="24" t="s">
        <v>62</v>
      </c>
      <c r="B43" s="29"/>
      <c r="C43" s="62">
        <v>5000</v>
      </c>
    </row>
    <row r="44" spans="1:3" x14ac:dyDescent="0.25">
      <c r="A44" s="23" t="s">
        <v>1</v>
      </c>
      <c r="B44" s="19"/>
      <c r="C44" s="30">
        <f>SUM(C35:C43)</f>
        <v>796000</v>
      </c>
    </row>
    <row r="45" spans="1:3" x14ac:dyDescent="0.25">
      <c r="A45" s="24" t="s">
        <v>39</v>
      </c>
      <c r="B45" s="19"/>
      <c r="C45" s="63">
        <f>IF(C44&gt;0,C44/(B28+B29)," ")</f>
        <v>205.15463917525773</v>
      </c>
    </row>
    <row r="46" spans="1:3" x14ac:dyDescent="0.25">
      <c r="A46" s="23" t="s">
        <v>40</v>
      </c>
      <c r="B46" s="19"/>
      <c r="C46" s="64">
        <f>IF(C44&gt;0,C44/B32," ")</f>
        <v>41894.73684210526</v>
      </c>
    </row>
    <row r="47" spans="1:3" x14ac:dyDescent="0.25">
      <c r="A47" s="2"/>
      <c r="C47" s="81"/>
    </row>
    <row r="48" spans="1:3" x14ac:dyDescent="0.25">
      <c r="A48" s="2"/>
      <c r="C48" s="17"/>
    </row>
    <row r="49" spans="1:3" x14ac:dyDescent="0.25">
      <c r="A49" s="106" t="s">
        <v>41</v>
      </c>
      <c r="B49" s="106"/>
      <c r="C49" s="106"/>
    </row>
    <row r="50" spans="1:3" x14ac:dyDescent="0.25">
      <c r="A50" s="23" t="s">
        <v>19</v>
      </c>
      <c r="B50" s="25" t="s">
        <v>27</v>
      </c>
      <c r="C50" s="26" t="s">
        <v>28</v>
      </c>
    </row>
    <row r="51" spans="1:3" x14ac:dyDescent="0.25">
      <c r="A51" s="24" t="s">
        <v>29</v>
      </c>
      <c r="B51" s="87">
        <v>2500</v>
      </c>
      <c r="C51" s="87">
        <v>2500</v>
      </c>
    </row>
    <row r="52" spans="1:3" x14ac:dyDescent="0.25">
      <c r="A52" s="24" t="s">
        <v>30</v>
      </c>
      <c r="B52" s="62"/>
      <c r="C52" s="62">
        <v>1100</v>
      </c>
    </row>
    <row r="53" spans="1:3" x14ac:dyDescent="0.25">
      <c r="A53" s="27" t="s">
        <v>43</v>
      </c>
      <c r="B53" s="87">
        <v>1000</v>
      </c>
      <c r="C53" s="87">
        <v>1000</v>
      </c>
    </row>
    <row r="54" spans="1:3" x14ac:dyDescent="0.25">
      <c r="A54" s="24" t="s">
        <v>31</v>
      </c>
      <c r="B54" s="62">
        <v>2000</v>
      </c>
      <c r="C54" s="62">
        <v>2000</v>
      </c>
    </row>
    <row r="55" spans="1:3" x14ac:dyDescent="0.25">
      <c r="A55" s="24" t="s">
        <v>88</v>
      </c>
      <c r="B55" s="62">
        <v>1500</v>
      </c>
      <c r="C55" s="62">
        <v>1500</v>
      </c>
    </row>
    <row r="56" spans="1:3" x14ac:dyDescent="0.25">
      <c r="A56" s="23" t="s">
        <v>79</v>
      </c>
      <c r="B56" s="64">
        <f>SUM(B51:B55)</f>
        <v>7000</v>
      </c>
      <c r="C56" s="64">
        <f>SUM(C51:C55)</f>
        <v>8100</v>
      </c>
    </row>
    <row r="57" spans="1:3" x14ac:dyDescent="0.25">
      <c r="A57" s="24" t="s">
        <v>78</v>
      </c>
      <c r="B57" s="84">
        <v>6</v>
      </c>
      <c r="C57" s="84">
        <v>5</v>
      </c>
    </row>
    <row r="58" spans="1:3" x14ac:dyDescent="0.25">
      <c r="A58" s="23" t="s">
        <v>80</v>
      </c>
      <c r="B58" s="105">
        <f>IF(B57+C57&gt;0,+(B56*B57+C56*C57)/(B57+C57),)</f>
        <v>7500</v>
      </c>
      <c r="C58" s="105"/>
    </row>
  </sheetData>
  <mergeCells count="6">
    <mergeCell ref="B58:C58"/>
    <mergeCell ref="A49:C49"/>
    <mergeCell ref="A4:C4"/>
    <mergeCell ref="A1:C1"/>
    <mergeCell ref="A2:C2"/>
    <mergeCell ref="A26:C26"/>
  </mergeCells>
  <pageMargins left="0.59055118110236227" right="0.59055118110236227" top="0.39370078740157483" bottom="0.59055118110236227" header="0.19685039370078741" footer="0.19685039370078741"/>
  <pageSetup paperSize="9" scale="89" orientation="portrait" r:id="rId1"/>
  <headerFooter>
    <oddFooter>Side &amp;P af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1"/>
  <sheetViews>
    <sheetView zoomScaleNormal="100" workbookViewId="0">
      <pane ySplit="1" topLeftCell="A2" activePane="bottomLeft" state="frozen"/>
      <selection pane="bottomLeft" activeCell="B12" sqref="B12"/>
    </sheetView>
  </sheetViews>
  <sheetFormatPr defaultRowHeight="15" x14ac:dyDescent="0.25"/>
  <cols>
    <col min="1" max="1" width="28" customWidth="1"/>
    <col min="2" max="2" width="12.7109375" bestFit="1" customWidth="1"/>
  </cols>
  <sheetData>
    <row r="1" spans="1:5" ht="23.25" x14ac:dyDescent="0.35">
      <c r="A1" s="53" t="str">
        <f>"Aktiver til beregning af hovedanlægsbidrag for "&amp;Vnavn&amp;" pr. 31/12-"&amp;RegnÅr</f>
        <v>Aktiver til beregning af hovedanlægsbidrag for Hellested Vandværk pr. 31/12-2018</v>
      </c>
    </row>
    <row r="2" spans="1:5" ht="14.25" customHeight="1" x14ac:dyDescent="0.25"/>
    <row r="3" spans="1:5" x14ac:dyDescent="0.25">
      <c r="A3" s="23" t="s">
        <v>85</v>
      </c>
      <c r="B3" s="20" t="s">
        <v>5</v>
      </c>
    </row>
    <row r="4" spans="1:5" x14ac:dyDescent="0.25">
      <c r="A4" s="24" t="s">
        <v>6</v>
      </c>
      <c r="B4" s="54">
        <v>485337</v>
      </c>
    </row>
    <row r="5" spans="1:5" x14ac:dyDescent="0.25">
      <c r="A5" s="24" t="s">
        <v>95</v>
      </c>
      <c r="B5" s="54">
        <v>2172976</v>
      </c>
    </row>
    <row r="6" spans="1:5" x14ac:dyDescent="0.25">
      <c r="A6" s="52" t="s">
        <v>1</v>
      </c>
      <c r="B6" s="52">
        <f>SUM(B4:B5)</f>
        <v>2658313</v>
      </c>
    </row>
    <row r="7" spans="1:5" ht="15.75" x14ac:dyDescent="0.25">
      <c r="B7" s="60"/>
      <c r="C7" s="60"/>
      <c r="D7" s="60"/>
      <c r="E7" s="60"/>
    </row>
    <row r="8" spans="1:5" ht="15.75" x14ac:dyDescent="0.25">
      <c r="A8" s="60"/>
      <c r="B8" s="60"/>
      <c r="C8" s="60"/>
      <c r="D8" s="60"/>
      <c r="E8" s="60"/>
    </row>
    <row r="9" spans="1:5" ht="15.75" x14ac:dyDescent="0.25">
      <c r="C9" s="60"/>
      <c r="D9" s="60"/>
      <c r="E9" s="60"/>
    </row>
    <row r="10" spans="1:5" ht="15.75" x14ac:dyDescent="0.25">
      <c r="C10" s="60"/>
      <c r="D10" s="60"/>
      <c r="E10" s="60"/>
    </row>
    <row r="11" spans="1:5" ht="15.75" x14ac:dyDescent="0.25">
      <c r="C11" s="60"/>
      <c r="D11" s="60"/>
      <c r="E11" s="60"/>
    </row>
  </sheetData>
  <sheetProtection insertRows="0" deleteRows="0"/>
  <pageMargins left="0.39370078740157483" right="0.39370078740157483" top="0.39370078740157483" bottom="0.59055118110236227" header="0.19685039370078741" footer="0.19685039370078741"/>
  <pageSetup paperSize="9" scale="68" fitToHeight="999" orientation="landscape" r:id="rId1"/>
  <headerFooter>
    <oddFooter>Side &amp;P af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2"/>
  <sheetViews>
    <sheetView tabSelected="1" zoomScalePageLayoutView="115" workbookViewId="0">
      <selection activeCell="G29" sqref="G29"/>
    </sheetView>
  </sheetViews>
  <sheetFormatPr defaultRowHeight="14.25" x14ac:dyDescent="0.2"/>
  <cols>
    <col min="1" max="1" width="53.42578125" style="18" customWidth="1"/>
    <col min="2" max="2" width="5.7109375" style="18" customWidth="1"/>
    <col min="3" max="4" width="12.7109375" style="34" customWidth="1"/>
    <col min="5" max="16384" width="9.140625" style="18"/>
  </cols>
  <sheetData>
    <row r="1" spans="1:5" ht="20.25" x14ac:dyDescent="0.3">
      <c r="A1" s="111" t="str">
        <f>"Takstblad for "&amp;Vnavn&amp;" - "&amp;TakstÅr</f>
        <v>Takstblad for Hellested Vandværk - 2020</v>
      </c>
      <c r="B1" s="111"/>
      <c r="C1" s="111"/>
      <c r="D1" s="111"/>
    </row>
    <row r="2" spans="1:5" ht="9.9499999999999993" customHeight="1" x14ac:dyDescent="0.3">
      <c r="A2" s="32"/>
      <c r="B2" s="32"/>
      <c r="C2" s="32"/>
      <c r="D2" s="32"/>
    </row>
    <row r="3" spans="1:5" ht="9.9499999999999993" customHeight="1" x14ac:dyDescent="0.2">
      <c r="A3" s="33"/>
    </row>
    <row r="4" spans="1:5" ht="15.75" x14ac:dyDescent="0.2">
      <c r="A4" s="35" t="str">
        <f>Stamdata!B3</f>
        <v>Hellested Vandværk</v>
      </c>
      <c r="B4" s="36"/>
      <c r="C4" s="116" t="str">
        <f>Stamdata!B7</f>
        <v>www.hellestedvand.dk</v>
      </c>
      <c r="D4" s="116"/>
    </row>
    <row r="5" spans="1:5" ht="15" x14ac:dyDescent="0.2">
      <c r="A5" s="50" t="str">
        <f>Stamdata!B4</f>
        <v>Maglehøjvej/Bækager</v>
      </c>
      <c r="B5" s="36"/>
      <c r="C5" s="114"/>
      <c r="D5" s="114"/>
      <c r="E5" s="88"/>
    </row>
    <row r="6" spans="1:5" ht="15" x14ac:dyDescent="0.2">
      <c r="A6" s="51" t="str">
        <f>Stamdata!B5</f>
        <v>4652 Hårlev</v>
      </c>
      <c r="B6" s="36"/>
      <c r="C6" s="115" t="str">
        <f>Stamdata!B9</f>
        <v>kasserer@hellestedvand.dk</v>
      </c>
      <c r="D6" s="115"/>
    </row>
    <row r="7" spans="1:5" ht="11.25" customHeight="1" thickBot="1" x14ac:dyDescent="0.25">
      <c r="A7" s="35"/>
      <c r="B7" s="36"/>
      <c r="C7" s="37"/>
    </row>
    <row r="8" spans="1:5" ht="16.5" thickBot="1" x14ac:dyDescent="0.25">
      <c r="A8" s="76" t="s">
        <v>68</v>
      </c>
      <c r="B8" s="39"/>
      <c r="C8" s="40" t="s">
        <v>45</v>
      </c>
      <c r="D8" s="40" t="s">
        <v>46</v>
      </c>
    </row>
    <row r="9" spans="1:5" ht="15" thickBot="1" x14ac:dyDescent="0.25">
      <c r="A9" s="67" t="s">
        <v>65</v>
      </c>
      <c r="B9" s="42" t="s">
        <v>12</v>
      </c>
      <c r="C9" s="69">
        <f>CEILING((Stamdata!C13*Stamdata!C23)/AntalBoligenheder,5)</f>
        <v>450</v>
      </c>
      <c r="D9" s="21">
        <f>C9*1.25</f>
        <v>562.5</v>
      </c>
    </row>
    <row r="10" spans="1:5" ht="15" thickBot="1" x14ac:dyDescent="0.25">
      <c r="A10" s="41" t="s">
        <v>44</v>
      </c>
      <c r="B10" s="42" t="s">
        <v>12</v>
      </c>
      <c r="C10" s="70">
        <f>(Stamdata!C13*Stamdata!C24)/Leveretm3</f>
        <v>8.2604651162790699</v>
      </c>
      <c r="D10" s="21">
        <f t="shared" ref="D10:D11" si="0">C10*1.25</f>
        <v>10.325581395348838</v>
      </c>
    </row>
    <row r="11" spans="1:5" ht="27.75" thickBot="1" x14ac:dyDescent="0.25">
      <c r="A11" s="41" t="s">
        <v>26</v>
      </c>
      <c r="B11" s="42" t="s">
        <v>12</v>
      </c>
      <c r="C11" s="43">
        <f>Stamdata!C18+Stamdata!C19</f>
        <v>6.37</v>
      </c>
      <c r="D11" s="21">
        <f t="shared" si="0"/>
        <v>7.9625000000000004</v>
      </c>
    </row>
    <row r="12" spans="1:5" x14ac:dyDescent="0.2">
      <c r="A12" s="117"/>
      <c r="B12" s="117"/>
      <c r="C12" s="117"/>
      <c r="D12" s="117"/>
    </row>
    <row r="13" spans="1:5" x14ac:dyDescent="0.2">
      <c r="A13" s="118"/>
      <c r="B13" s="118"/>
      <c r="C13" s="118"/>
      <c r="D13" s="118"/>
    </row>
    <row r="14" spans="1:5" x14ac:dyDescent="0.2">
      <c r="A14" s="118"/>
      <c r="B14" s="118"/>
      <c r="C14" s="118"/>
      <c r="D14" s="118"/>
    </row>
    <row r="15" spans="1:5" ht="13.5" customHeight="1" x14ac:dyDescent="0.2">
      <c r="A15" s="118"/>
      <c r="B15" s="118"/>
      <c r="C15" s="118"/>
      <c r="D15" s="118"/>
    </row>
    <row r="16" spans="1:5" ht="16.5" thickBot="1" x14ac:dyDescent="0.25">
      <c r="A16" s="74" t="s">
        <v>69</v>
      </c>
    </row>
    <row r="17" spans="1:6" ht="15" thickBot="1" x14ac:dyDescent="0.25">
      <c r="A17" s="75" t="s">
        <v>99</v>
      </c>
      <c r="B17" s="45"/>
      <c r="C17" s="40" t="s">
        <v>50</v>
      </c>
      <c r="D17" s="40" t="s">
        <v>49</v>
      </c>
    </row>
    <row r="18" spans="1:6" ht="15" thickBot="1" x14ac:dyDescent="0.25">
      <c r="A18" s="41" t="s">
        <v>47</v>
      </c>
      <c r="B18" s="72" t="s">
        <v>12</v>
      </c>
      <c r="C18" s="71">
        <f>CEILING(Aktiver!B6/AntalBoligenheder,5)</f>
        <v>10070</v>
      </c>
      <c r="D18" s="73">
        <f>C18*1.25</f>
        <v>12587.5</v>
      </c>
    </row>
    <row r="19" spans="1:6" ht="15" thickBot="1" x14ac:dyDescent="0.25">
      <c r="A19" s="66" t="s">
        <v>63</v>
      </c>
      <c r="B19" s="42" t="s">
        <v>12</v>
      </c>
      <c r="C19" s="71">
        <f>CEILING(Aktiver!B6/AntalBoligenheder,5)</f>
        <v>10070</v>
      </c>
      <c r="D19" s="21">
        <f t="shared" ref="D19:D22" si="1">C19*1.25</f>
        <v>12587.5</v>
      </c>
    </row>
    <row r="20" spans="1:6" ht="15" thickBot="1" x14ac:dyDescent="0.25">
      <c r="A20" s="66" t="s">
        <v>64</v>
      </c>
      <c r="B20" s="42" t="s">
        <v>12</v>
      </c>
      <c r="C20" s="71">
        <f>C$19*2</f>
        <v>20140</v>
      </c>
      <c r="D20" s="21">
        <f t="shared" si="1"/>
        <v>25175</v>
      </c>
    </row>
    <row r="21" spans="1:6" ht="15" thickBot="1" x14ac:dyDescent="0.25">
      <c r="A21" s="68" t="s">
        <v>66</v>
      </c>
      <c r="B21" s="42" t="s">
        <v>12</v>
      </c>
      <c r="C21" s="71">
        <f>C$19*3</f>
        <v>30210</v>
      </c>
      <c r="D21" s="21">
        <f t="shared" si="1"/>
        <v>37762.5</v>
      </c>
    </row>
    <row r="22" spans="1:6" ht="15" thickBot="1" x14ac:dyDescent="0.25">
      <c r="A22" s="68" t="s">
        <v>67</v>
      </c>
      <c r="B22" s="42" t="s">
        <v>12</v>
      </c>
      <c r="C22" s="71">
        <f>C$19*4</f>
        <v>40280</v>
      </c>
      <c r="D22" s="21">
        <f t="shared" si="1"/>
        <v>50350</v>
      </c>
    </row>
    <row r="23" spans="1:6" ht="15.75" thickBot="1" x14ac:dyDescent="0.3">
      <c r="A23" s="96" t="s">
        <v>107</v>
      </c>
      <c r="B23" s="42" t="s">
        <v>12</v>
      </c>
      <c r="C23" s="71">
        <f>'Forsynings- og stikledninger'!C24</f>
        <v>2750</v>
      </c>
      <c r="D23" s="21">
        <f>IF(ISNUMBER(C23),C23*1.25," ")</f>
        <v>3437.5</v>
      </c>
      <c r="E23" s="88"/>
      <c r="F23"/>
    </row>
    <row r="24" spans="1:6" ht="15" thickBot="1" x14ac:dyDescent="0.25">
      <c r="A24" s="96" t="s">
        <v>108</v>
      </c>
      <c r="B24" s="42" t="s">
        <v>12</v>
      </c>
      <c r="C24" s="71">
        <f>ROUNDUP('Forsynings- og stikledninger'!C46,0)</f>
        <v>41895</v>
      </c>
      <c r="D24" s="21">
        <f>IF(ISNUMBER(C24),C24*1.25," ")</f>
        <v>52368.75</v>
      </c>
    </row>
    <row r="25" spans="1:6" ht="15" thickBot="1" x14ac:dyDescent="0.25">
      <c r="A25" s="95" t="s">
        <v>100</v>
      </c>
      <c r="B25" s="42" t="s">
        <v>13</v>
      </c>
      <c r="C25" s="71">
        <f>'Forsynings- og stikledninger'!B58</f>
        <v>7500</v>
      </c>
      <c r="D25" s="21">
        <f>IF(ISNUMBER(C25),C25*1.25," ")</f>
        <v>9375</v>
      </c>
    </row>
    <row r="26" spans="1:6" x14ac:dyDescent="0.2">
      <c r="A26" s="112" t="s">
        <v>86</v>
      </c>
      <c r="B26" s="113"/>
      <c r="C26" s="113"/>
      <c r="D26" s="113"/>
    </row>
    <row r="27" spans="1:6" ht="28.5" customHeight="1" x14ac:dyDescent="0.2">
      <c r="A27" s="109" t="s">
        <v>70</v>
      </c>
      <c r="B27" s="110"/>
      <c r="C27" s="110"/>
      <c r="D27" s="110"/>
    </row>
    <row r="28" spans="1:6" x14ac:dyDescent="0.2">
      <c r="A28" s="122" t="s">
        <v>101</v>
      </c>
      <c r="B28" s="123"/>
      <c r="C28" s="124">
        <f>C18+C23+C25</f>
        <v>20320</v>
      </c>
      <c r="D28" s="124">
        <f>C28*1.25</f>
        <v>25400</v>
      </c>
    </row>
    <row r="29" spans="1:6" ht="18" customHeight="1" x14ac:dyDescent="0.2">
      <c r="A29" s="122" t="s">
        <v>102</v>
      </c>
      <c r="B29" s="123"/>
      <c r="C29" s="124">
        <f>C18+C24+C25</f>
        <v>59465</v>
      </c>
      <c r="D29" s="124">
        <f>C29*1.25</f>
        <v>74331.25</v>
      </c>
    </row>
    <row r="30" spans="1:6" ht="13.5" customHeight="1" x14ac:dyDescent="0.2">
      <c r="A30" s="91"/>
      <c r="B30" s="92"/>
      <c r="C30" s="92"/>
      <c r="D30" s="92"/>
    </row>
    <row r="31" spans="1:6" ht="12.75" customHeight="1" thickBot="1" x14ac:dyDescent="0.25">
      <c r="A31" s="44"/>
    </row>
    <row r="32" spans="1:6" ht="15" thickBot="1" x14ac:dyDescent="0.25">
      <c r="A32" s="38" t="s">
        <v>3</v>
      </c>
      <c r="B32" s="45"/>
      <c r="C32" s="40" t="s">
        <v>48</v>
      </c>
      <c r="D32" s="40" t="s">
        <v>49</v>
      </c>
    </row>
    <row r="33" spans="1:4" ht="15" thickBot="1" x14ac:dyDescent="0.25">
      <c r="A33" s="41" t="s">
        <v>14</v>
      </c>
      <c r="B33" s="42" t="s">
        <v>12</v>
      </c>
      <c r="C33" s="43">
        <v>100</v>
      </c>
      <c r="D33" s="21" t="s">
        <v>15</v>
      </c>
    </row>
    <row r="34" spans="1:4" ht="15" thickBot="1" x14ac:dyDescent="0.25">
      <c r="A34" s="95" t="s">
        <v>103</v>
      </c>
      <c r="B34" s="42"/>
      <c r="C34" s="43">
        <v>200</v>
      </c>
      <c r="D34" s="21" t="s">
        <v>15</v>
      </c>
    </row>
    <row r="35" spans="1:4" ht="15" thickBot="1" x14ac:dyDescent="0.25">
      <c r="A35" s="93" t="s">
        <v>98</v>
      </c>
      <c r="B35" s="42" t="s">
        <v>12</v>
      </c>
      <c r="C35" s="46">
        <v>200</v>
      </c>
      <c r="D35" s="21">
        <f>C35*1.25</f>
        <v>250</v>
      </c>
    </row>
    <row r="36" spans="1:4" ht="26.25" thickBot="1" x14ac:dyDescent="0.25">
      <c r="A36" s="77" t="s">
        <v>71</v>
      </c>
      <c r="B36" s="42" t="s">
        <v>13</v>
      </c>
      <c r="C36" s="46">
        <v>250</v>
      </c>
      <c r="D36" s="21">
        <v>312.5</v>
      </c>
    </row>
    <row r="37" spans="1:4" ht="15" thickBot="1" x14ac:dyDescent="0.25">
      <c r="A37" s="95" t="s">
        <v>104</v>
      </c>
      <c r="B37" s="42"/>
      <c r="C37" s="119" t="s">
        <v>105</v>
      </c>
      <c r="D37" s="120"/>
    </row>
    <row r="38" spans="1:4" ht="15" thickBot="1" x14ac:dyDescent="0.25">
      <c r="A38" s="93" t="s">
        <v>53</v>
      </c>
      <c r="B38" s="42" t="s">
        <v>12</v>
      </c>
      <c r="C38" s="46">
        <v>1000</v>
      </c>
      <c r="D38" s="21">
        <f>C38*1.25</f>
        <v>1250</v>
      </c>
    </row>
    <row r="39" spans="1:4" x14ac:dyDescent="0.2">
      <c r="A39" s="94" t="s">
        <v>54</v>
      </c>
      <c r="B39" s="47"/>
      <c r="D39" s="48"/>
    </row>
    <row r="40" spans="1:4" x14ac:dyDescent="0.2">
      <c r="A40" s="44" t="s">
        <v>16</v>
      </c>
    </row>
    <row r="41" spans="1:4" x14ac:dyDescent="0.2">
      <c r="A41" s="44"/>
    </row>
    <row r="42" spans="1:4" x14ac:dyDescent="0.2">
      <c r="A42" s="121" t="s">
        <v>109</v>
      </c>
      <c r="B42" s="108"/>
      <c r="C42" s="108"/>
      <c r="D42" s="108"/>
    </row>
  </sheetData>
  <sheetProtection algorithmName="SHA-512" hashValue="BwgL9UpiQxcX1jL+NzjPI63Dn0mApXDTack8rGzRp+pL3A8nL1KgTc5xoT+rZkY2IsppWwsHCQfIRGKbAKcvYg==" saltValue="sfQmDDoGZaeg3yfm80Vv1A==" spinCount="100000" sheet="1" objects="1" scenarios="1"/>
  <mergeCells count="9">
    <mergeCell ref="A42:D42"/>
    <mergeCell ref="A27:D27"/>
    <mergeCell ref="A1:D1"/>
    <mergeCell ref="A26:D26"/>
    <mergeCell ref="C5:D5"/>
    <mergeCell ref="C6:D6"/>
    <mergeCell ref="C4:D4"/>
    <mergeCell ref="A12:D15"/>
    <mergeCell ref="C37:D37"/>
  </mergeCells>
  <pageMargins left="0.59055118110236227" right="0.59055118110236227" top="0.39370078740157483" bottom="0.59055118110236227" header="0.19685039370078741" footer="0.19685039370078741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Stamdata</vt:lpstr>
      <vt:lpstr>Driftsbudget</vt:lpstr>
      <vt:lpstr>Forsynings- og stikledninger</vt:lpstr>
      <vt:lpstr>Aktiver</vt:lpstr>
      <vt:lpstr>Takstblad</vt:lpstr>
      <vt:lpstr>AntalBoligenheder</vt:lpstr>
      <vt:lpstr>Leveretm3</vt:lpstr>
      <vt:lpstr>RegnÅr</vt:lpstr>
      <vt:lpstr>TakstÅr</vt:lpstr>
      <vt:lpstr>'Forsynings- og stikledninger'!Udskriftsområde</vt:lpstr>
      <vt:lpstr>Vnavn</vt:lpstr>
    </vt:vector>
  </TitlesOfParts>
  <Company>Systemhosting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Bogholderi</dc:creator>
  <cp:lastModifiedBy>nhat</cp:lastModifiedBy>
  <cp:lastPrinted>2019-03-17T10:55:59Z</cp:lastPrinted>
  <dcterms:created xsi:type="dcterms:W3CDTF">2016-05-12T09:34:35Z</dcterms:created>
  <dcterms:modified xsi:type="dcterms:W3CDTF">2019-12-31T08:29:22Z</dcterms:modified>
</cp:coreProperties>
</file>